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 I\Desktop\CAS\TR_2018\Pagina web\"/>
    </mc:Choice>
  </mc:AlternateContent>
  <bookViews>
    <workbookView xWindow="0" yWindow="0" windowWidth="20490" windowHeight="8280"/>
  </bookViews>
  <sheets>
    <sheet name="Simulacion liquidacion T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P55" i="1"/>
  <c r="O55" i="1"/>
  <c r="N55" i="1"/>
  <c r="M55" i="1"/>
  <c r="M57" i="1" s="1"/>
  <c r="L55" i="1"/>
  <c r="K55" i="1"/>
  <c r="J55" i="1"/>
  <c r="K57" i="1" s="1"/>
  <c r="I55" i="1"/>
  <c r="I57" i="1" s="1"/>
  <c r="H55" i="1"/>
  <c r="G55" i="1"/>
  <c r="G57" i="1" s="1"/>
  <c r="F55" i="1"/>
  <c r="E55" i="1"/>
  <c r="E57" i="1" s="1"/>
  <c r="E58" i="1" s="1"/>
  <c r="D55" i="1"/>
  <c r="C55" i="1"/>
  <c r="X54" i="1"/>
  <c r="W54" i="1"/>
  <c r="C56" i="1" s="1"/>
  <c r="V54" i="1"/>
  <c r="U54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M51" i="1"/>
  <c r="C41" i="1"/>
  <c r="E37" i="1"/>
  <c r="E38" i="1" s="1"/>
  <c r="P35" i="1"/>
  <c r="O35" i="1"/>
  <c r="N35" i="1"/>
  <c r="M35" i="1"/>
  <c r="L35" i="1"/>
  <c r="K35" i="1"/>
  <c r="K37" i="1" s="1"/>
  <c r="J35" i="1"/>
  <c r="I35" i="1"/>
  <c r="I37" i="1" s="1"/>
  <c r="H35" i="1"/>
  <c r="G35" i="1"/>
  <c r="G37" i="1" s="1"/>
  <c r="F35" i="1"/>
  <c r="E35" i="1"/>
  <c r="D35" i="1"/>
  <c r="C35" i="1"/>
  <c r="V34" i="1"/>
  <c r="X34" i="1" s="1"/>
  <c r="U34" i="1"/>
  <c r="W34" i="1" s="1"/>
  <c r="C36" i="1" s="1"/>
  <c r="P32" i="1"/>
  <c r="O32" i="1"/>
  <c r="N32" i="1"/>
  <c r="M32" i="1"/>
  <c r="M37" i="1" s="1"/>
  <c r="L32" i="1"/>
  <c r="K32" i="1"/>
  <c r="J32" i="1"/>
  <c r="I32" i="1"/>
  <c r="H32" i="1"/>
  <c r="G32" i="1"/>
  <c r="F32" i="1"/>
  <c r="E32" i="1"/>
  <c r="D32" i="1"/>
  <c r="C32" i="1"/>
  <c r="C21" i="1"/>
  <c r="P15" i="1"/>
  <c r="O15" i="1"/>
  <c r="O17" i="1" s="1"/>
  <c r="N15" i="1"/>
  <c r="M15" i="1"/>
  <c r="M17" i="1" s="1"/>
  <c r="L15" i="1"/>
  <c r="K15" i="1"/>
  <c r="K17" i="1" s="1"/>
  <c r="J15" i="1"/>
  <c r="I15" i="1"/>
  <c r="I17" i="1" s="1"/>
  <c r="H15" i="1"/>
  <c r="G15" i="1"/>
  <c r="G17" i="1" s="1"/>
  <c r="F15" i="1"/>
  <c r="E15" i="1"/>
  <c r="E17" i="1" s="1"/>
  <c r="E18" i="1" s="1"/>
  <c r="D15" i="1"/>
  <c r="C15" i="1"/>
  <c r="X14" i="1"/>
  <c r="W14" i="1"/>
  <c r="C16" i="1" s="1"/>
  <c r="V14" i="1"/>
  <c r="U14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G18" i="1" l="1"/>
  <c r="C19" i="1"/>
  <c r="E21" i="1"/>
  <c r="D19" i="1"/>
  <c r="E23" i="1" s="1"/>
  <c r="E16" i="1"/>
  <c r="G16" i="1" s="1"/>
  <c r="I16" i="1" s="1"/>
  <c r="E56" i="1"/>
  <c r="G56" i="1" s="1"/>
  <c r="D59" i="1"/>
  <c r="C59" i="1"/>
  <c r="E61" i="1"/>
  <c r="E60" i="1"/>
  <c r="F58" i="1"/>
  <c r="G58" i="1" s="1"/>
  <c r="E36" i="1"/>
  <c r="G36" i="1" s="1"/>
  <c r="I36" i="1" s="1"/>
  <c r="D39" i="1"/>
  <c r="E43" i="1" s="1"/>
  <c r="C39" i="1"/>
  <c r="E41" i="1"/>
  <c r="E39" i="1"/>
  <c r="E40" i="1"/>
  <c r="F38" i="1"/>
  <c r="F39" i="1" s="1"/>
  <c r="E20" i="1"/>
  <c r="F18" i="1"/>
  <c r="F19" i="1" s="1"/>
  <c r="E19" i="1"/>
  <c r="G59" i="1" l="1"/>
  <c r="G60" i="1"/>
  <c r="H58" i="1"/>
  <c r="G20" i="1"/>
  <c r="H18" i="1"/>
  <c r="G19" i="1"/>
  <c r="I24" i="1" s="1"/>
  <c r="G38" i="1"/>
  <c r="K36" i="1"/>
  <c r="F59" i="1"/>
  <c r="G21" i="1"/>
  <c r="E63" i="1"/>
  <c r="G61" i="1"/>
  <c r="F44" i="1"/>
  <c r="G43" i="1"/>
  <c r="I56" i="1"/>
  <c r="G24" i="1"/>
  <c r="E59" i="1"/>
  <c r="G23" i="1"/>
  <c r="K16" i="1"/>
  <c r="I63" i="1" l="1"/>
  <c r="H64" i="1"/>
  <c r="K56" i="1"/>
  <c r="G40" i="1"/>
  <c r="H38" i="1"/>
  <c r="G39" i="1"/>
  <c r="G41" i="1"/>
  <c r="M36" i="1"/>
  <c r="M16" i="1"/>
  <c r="H19" i="1"/>
  <c r="I23" i="1" s="1"/>
  <c r="I18" i="1"/>
  <c r="H59" i="1"/>
  <c r="I58" i="1"/>
  <c r="G63" i="1"/>
  <c r="F64" i="1"/>
  <c r="J58" i="1" l="1"/>
  <c r="I60" i="1"/>
  <c r="I59" i="1"/>
  <c r="I61" i="1"/>
  <c r="H44" i="1"/>
  <c r="I43" i="1"/>
  <c r="I19" i="1"/>
  <c r="K24" i="1" s="1"/>
  <c r="I20" i="1"/>
  <c r="J18" i="1"/>
  <c r="I21" i="1"/>
  <c r="H39" i="1"/>
  <c r="I38" i="1"/>
  <c r="M56" i="1"/>
  <c r="J19" i="1" l="1"/>
  <c r="K23" i="1" s="1"/>
  <c r="K18" i="1"/>
  <c r="J59" i="1"/>
  <c r="K58" i="1"/>
  <c r="I40" i="1"/>
  <c r="J38" i="1"/>
  <c r="I39" i="1"/>
  <c r="I41" i="1"/>
  <c r="J64" i="1"/>
  <c r="K63" i="1"/>
  <c r="J44" i="1" l="1"/>
  <c r="L58" i="1"/>
  <c r="K60" i="1"/>
  <c r="K59" i="1"/>
  <c r="K61" i="1"/>
  <c r="J39" i="1"/>
  <c r="K43" i="1" s="1"/>
  <c r="K38" i="1"/>
  <c r="K19" i="1"/>
  <c r="M24" i="1" s="1"/>
  <c r="L18" i="1"/>
  <c r="K20" i="1"/>
  <c r="K21" i="1"/>
  <c r="K40" i="1" l="1"/>
  <c r="K39" i="1"/>
  <c r="L38" i="1"/>
  <c r="K41" i="1"/>
  <c r="L64" i="1"/>
  <c r="L59" i="1"/>
  <c r="M63" i="1" s="1"/>
  <c r="M58" i="1"/>
  <c r="L19" i="1"/>
  <c r="M23" i="1" s="1"/>
  <c r="M18" i="1"/>
  <c r="N58" i="1" l="1"/>
  <c r="M60" i="1"/>
  <c r="M59" i="1"/>
  <c r="M61" i="1"/>
  <c r="L39" i="1"/>
  <c r="M43" i="1" s="1"/>
  <c r="M38" i="1"/>
  <c r="N18" i="1"/>
  <c r="M20" i="1"/>
  <c r="M19" i="1"/>
  <c r="O24" i="1" s="1"/>
  <c r="M21" i="1"/>
  <c r="L44" i="1"/>
  <c r="N19" i="1" l="1"/>
  <c r="O23" i="1" s="1"/>
  <c r="O18" i="1"/>
  <c r="M40" i="1"/>
  <c r="M39" i="1"/>
  <c r="N38" i="1"/>
  <c r="M41" i="1"/>
  <c r="O63" i="1"/>
  <c r="N64" i="1"/>
  <c r="N59" i="1"/>
  <c r="O58" i="1"/>
  <c r="N44" i="1" l="1"/>
  <c r="N39" i="1"/>
  <c r="O43" i="1" s="1"/>
  <c r="O38" i="1"/>
  <c r="P18" i="1"/>
  <c r="P19" i="1" s="1"/>
  <c r="O19" i="1"/>
  <c r="O20" i="1"/>
  <c r="O21" i="1"/>
  <c r="O59" i="1"/>
  <c r="O60" i="1"/>
  <c r="P58" i="1"/>
  <c r="P59" i="1" s="1"/>
  <c r="O61" i="1"/>
  <c r="P38" i="1" l="1"/>
  <c r="P39" i="1" s="1"/>
  <c r="O39" i="1"/>
  <c r="O40" i="1"/>
  <c r="O41" i="1"/>
</calcChain>
</file>

<file path=xl/sharedStrings.xml><?xml version="1.0" encoding="utf-8"?>
<sst xmlns="http://schemas.openxmlformats.org/spreadsheetml/2006/main" count="57" uniqueCount="28">
  <si>
    <t>Fecha inicio quinquenio</t>
  </si>
  <si>
    <t>Fecha finalización quinquneio</t>
  </si>
  <si>
    <t>FRo</t>
  </si>
  <si>
    <t>Usuario cumple con la meta de carga contaminante todos los años</t>
  </si>
  <si>
    <t>Usuario</t>
  </si>
  <si>
    <t>Carga vertida
(Kg/año DBO)</t>
  </si>
  <si>
    <t>Año 1</t>
  </si>
  <si>
    <t>Año 2</t>
  </si>
  <si>
    <t>Año 3</t>
  </si>
  <si>
    <t>Año 4</t>
  </si>
  <si>
    <t>Año 5</t>
  </si>
  <si>
    <t>Meses</t>
  </si>
  <si>
    <t>Carga Meta (Kg/año)</t>
  </si>
  <si>
    <t>Carga meta por periodo (Kg)</t>
  </si>
  <si>
    <t>Liquidación</t>
  </si>
  <si>
    <t>Carga vertida año (Kg/año)</t>
  </si>
  <si>
    <t>Carga vertida periodo (Kg)</t>
  </si>
  <si>
    <t>TM DBO ($/Kg)</t>
  </si>
  <si>
    <t>Cc/Cm</t>
  </si>
  <si>
    <t>FR</t>
  </si>
  <si>
    <t>Tasa periodo</t>
  </si>
  <si>
    <t>Ajuste</t>
  </si>
  <si>
    <t>No</t>
  </si>
  <si>
    <t>Cobro</t>
  </si>
  <si>
    <t>Tasa anual</t>
  </si>
  <si>
    <t>Usuario incumple con la meta de carga contaminante todos los años</t>
  </si>
  <si>
    <t>Meta</t>
  </si>
  <si>
    <t>Usuario incumple con la meta de carga contaminante último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</si>
</sst>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dd\ mmmm\ yyyy"/>
    <numFmt numFmtId="165" formatCode="_-* #,##0.00_-;\-* #,##0.00_-;_-* &quot;-&quot;_-;_-@_-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7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166" fontId="1" fillId="2" borderId="2" xfId="1" applyNumberFormat="1" applyFont="1" applyFill="1" applyBorder="1" applyAlignment="1">
      <alignment vertical="center"/>
    </xf>
    <xf numFmtId="166" fontId="1" fillId="2" borderId="3" xfId="1" applyNumberFormat="1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6" fontId="1" fillId="2" borderId="1" xfId="1" applyNumberFormat="1" applyFont="1" applyFill="1" applyBorder="1" applyAlignment="1">
      <alignment vertical="center"/>
    </xf>
    <xf numFmtId="165" fontId="1" fillId="0" borderId="0" xfId="1" applyNumberFormat="1" applyFont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42" fontId="1" fillId="2" borderId="1" xfId="2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3" xfId="1" applyNumberFormat="1" applyFont="1" applyBorder="1" applyAlignment="1">
      <alignment horizontal="center" vertical="center"/>
    </xf>
    <xf numFmtId="41" fontId="1" fillId="0" borderId="1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1" fontId="1" fillId="0" borderId="2" xfId="1" applyNumberFormat="1" applyFont="1" applyBorder="1" applyAlignment="1">
      <alignment vertical="center"/>
    </xf>
    <xf numFmtId="41" fontId="1" fillId="0" borderId="3" xfId="1" applyNumberFormat="1" applyFont="1" applyBorder="1" applyAlignment="1">
      <alignment vertical="center"/>
    </xf>
    <xf numFmtId="41" fontId="1" fillId="0" borderId="1" xfId="1" applyNumberFormat="1" applyFont="1" applyBorder="1" applyAlignment="1">
      <alignment vertical="center"/>
    </xf>
    <xf numFmtId="42" fontId="2" fillId="0" borderId="2" xfId="2" applyFont="1" applyBorder="1" applyAlignment="1">
      <alignment vertical="center"/>
    </xf>
    <xf numFmtId="42" fontId="2" fillId="0" borderId="3" xfId="2" applyFont="1" applyBorder="1" applyAlignment="1">
      <alignment vertical="center"/>
    </xf>
    <xf numFmtId="42" fontId="2" fillId="2" borderId="1" xfId="2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2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2" fontId="1" fillId="0" borderId="7" xfId="0" applyNumberFormat="1" applyFont="1" applyBorder="1" applyAlignment="1">
      <alignment vertical="center"/>
    </xf>
    <xf numFmtId="166" fontId="1" fillId="0" borderId="2" xfId="1" applyNumberFormat="1" applyFont="1" applyBorder="1" applyAlignment="1">
      <alignment vertical="center"/>
    </xf>
    <xf numFmtId="166" fontId="1" fillId="0" borderId="3" xfId="1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2" fontId="2" fillId="2" borderId="2" xfId="2" applyFont="1" applyFill="1" applyBorder="1" applyAlignment="1">
      <alignment vertical="center"/>
    </xf>
    <xf numFmtId="42" fontId="2" fillId="2" borderId="3" xfId="2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2" fontId="1" fillId="0" borderId="2" xfId="0" applyNumberFormat="1" applyFont="1" applyBorder="1" applyAlignment="1">
      <alignment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4"/>
  <sheetViews>
    <sheetView tabSelected="1" topLeftCell="A49" zoomScale="85" zoomScaleNormal="85" workbookViewId="0">
      <selection activeCell="D4" sqref="D4"/>
    </sheetView>
  </sheetViews>
  <sheetFormatPr baseColWidth="10" defaultRowHeight="15.95" customHeight="1" x14ac:dyDescent="0.25"/>
  <cols>
    <col min="1" max="1" width="4.140625" style="1" customWidth="1"/>
    <col min="2" max="2" width="23.5703125" style="1" customWidth="1"/>
    <col min="3" max="16" width="12.7109375" style="1" customWidth="1"/>
    <col min="17" max="17" width="11.42578125" style="1"/>
    <col min="18" max="18" width="6.5703125" style="1" customWidth="1"/>
    <col min="19" max="25" width="8.7109375" style="1" customWidth="1"/>
    <col min="26" max="16384" width="11.42578125" style="1"/>
  </cols>
  <sheetData>
    <row r="2" spans="2:24" ht="15.95" customHeight="1" x14ac:dyDescent="0.25">
      <c r="B2" s="1" t="s">
        <v>0</v>
      </c>
      <c r="C2" s="2">
        <v>43586</v>
      </c>
      <c r="D2" s="2"/>
    </row>
    <row r="3" spans="2:24" ht="15.95" customHeight="1" x14ac:dyDescent="0.25">
      <c r="B3" s="1" t="s">
        <v>1</v>
      </c>
      <c r="C3" s="2">
        <v>45412</v>
      </c>
      <c r="D3" s="2"/>
    </row>
    <row r="4" spans="2:24" ht="15.95" customHeight="1" x14ac:dyDescent="0.25">
      <c r="B4" s="1" t="s">
        <v>2</v>
      </c>
      <c r="C4" s="1">
        <v>1</v>
      </c>
    </row>
    <row r="6" spans="2:24" ht="18" customHeight="1" x14ac:dyDescent="0.25">
      <c r="B6" s="3" t="s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4" ht="30" customHeight="1" x14ac:dyDescent="0.25">
      <c r="B7" s="4" t="s">
        <v>4</v>
      </c>
      <c r="C7" s="5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2:24" ht="15.95" customHeight="1" x14ac:dyDescent="0.25">
      <c r="B8" s="6"/>
      <c r="C8" s="7">
        <v>2019</v>
      </c>
      <c r="D8" s="8"/>
      <c r="E8" s="9">
        <v>2020</v>
      </c>
      <c r="F8" s="9"/>
      <c r="G8" s="9">
        <v>2021</v>
      </c>
      <c r="H8" s="9"/>
      <c r="I8" s="9">
        <v>2022</v>
      </c>
      <c r="J8" s="9"/>
      <c r="K8" s="9">
        <v>2023</v>
      </c>
      <c r="L8" s="9"/>
      <c r="M8" s="9">
        <v>2024</v>
      </c>
      <c r="N8" s="9"/>
      <c r="O8" s="9">
        <v>2025</v>
      </c>
      <c r="P8" s="9"/>
      <c r="S8" s="10">
        <v>2017</v>
      </c>
      <c r="T8" s="10"/>
      <c r="U8" s="10">
        <v>2018</v>
      </c>
      <c r="V8" s="10"/>
      <c r="W8" s="10">
        <v>2019</v>
      </c>
      <c r="X8" s="10"/>
    </row>
    <row r="9" spans="2:24" ht="15.95" customHeight="1" x14ac:dyDescent="0.25">
      <c r="B9" s="6"/>
      <c r="C9" s="11"/>
      <c r="D9" s="7" t="s">
        <v>6</v>
      </c>
      <c r="E9" s="8"/>
      <c r="F9" s="7" t="s">
        <v>7</v>
      </c>
      <c r="G9" s="8"/>
      <c r="H9" s="7" t="s">
        <v>8</v>
      </c>
      <c r="I9" s="8"/>
      <c r="J9" s="7" t="s">
        <v>9</v>
      </c>
      <c r="K9" s="8"/>
      <c r="L9" s="7" t="s">
        <v>10</v>
      </c>
      <c r="M9" s="8"/>
      <c r="N9" s="11"/>
      <c r="O9" s="11"/>
      <c r="P9" s="11"/>
      <c r="S9" s="12"/>
      <c r="T9" s="12"/>
      <c r="U9" s="12"/>
      <c r="V9" s="12"/>
      <c r="W9" s="12"/>
      <c r="X9" s="12"/>
    </row>
    <row r="10" spans="2:24" ht="15.95" customHeight="1" x14ac:dyDescent="0.25">
      <c r="B10" s="6" t="s">
        <v>11</v>
      </c>
      <c r="C10" s="4">
        <v>4</v>
      </c>
      <c r="D10" s="4">
        <v>8</v>
      </c>
      <c r="E10" s="4">
        <v>4</v>
      </c>
      <c r="F10" s="4">
        <v>8</v>
      </c>
      <c r="G10" s="4">
        <v>4</v>
      </c>
      <c r="H10" s="4">
        <v>8</v>
      </c>
      <c r="I10" s="4">
        <v>4</v>
      </c>
      <c r="J10" s="4">
        <v>8</v>
      </c>
      <c r="K10" s="4">
        <v>4</v>
      </c>
      <c r="L10" s="4">
        <v>8</v>
      </c>
      <c r="M10" s="4">
        <v>4</v>
      </c>
      <c r="N10" s="4">
        <v>8</v>
      </c>
      <c r="O10" s="4">
        <v>4</v>
      </c>
      <c r="P10" s="4">
        <v>8</v>
      </c>
      <c r="S10" s="13">
        <v>5.75</v>
      </c>
      <c r="T10" s="13"/>
      <c r="U10" s="13">
        <v>4.09</v>
      </c>
      <c r="V10" s="13"/>
      <c r="W10" s="13">
        <v>3.18</v>
      </c>
      <c r="X10" s="13"/>
    </row>
    <row r="11" spans="2:24" ht="15.95" customHeight="1" x14ac:dyDescent="0.25">
      <c r="B11" s="14" t="s">
        <v>12</v>
      </c>
      <c r="C11" s="15">
        <v>1149924.0216398409</v>
      </c>
      <c r="D11" s="16"/>
      <c r="E11" s="17">
        <v>1149924.0216398409</v>
      </c>
      <c r="F11" s="17"/>
      <c r="G11" s="17">
        <v>1149924.0216398409</v>
      </c>
      <c r="H11" s="17"/>
      <c r="I11" s="17">
        <v>1149924.0216398409</v>
      </c>
      <c r="J11" s="17"/>
      <c r="K11" s="17">
        <v>1149924.0216398409</v>
      </c>
      <c r="L11" s="17"/>
      <c r="M11" s="17">
        <v>1149924.0216398409</v>
      </c>
      <c r="N11" s="17"/>
      <c r="O11" s="17"/>
      <c r="P11" s="17"/>
    </row>
    <row r="12" spans="2:24" ht="15.95" customHeight="1" x14ac:dyDescent="0.25">
      <c r="B12" s="14" t="s">
        <v>13</v>
      </c>
      <c r="C12" s="18">
        <f>+C11*C10/12</f>
        <v>383308.0072132803</v>
      </c>
      <c r="D12" s="18">
        <f>+C11*D10/12</f>
        <v>766616.01442656061</v>
      </c>
      <c r="E12" s="18">
        <f>+E11*4/12</f>
        <v>383308.0072132803</v>
      </c>
      <c r="F12" s="18">
        <f>+E11*8/12</f>
        <v>766616.01442656061</v>
      </c>
      <c r="G12" s="18">
        <f>+G11*4/12</f>
        <v>383308.0072132803</v>
      </c>
      <c r="H12" s="18">
        <f>+G11*8/12</f>
        <v>766616.01442656061</v>
      </c>
      <c r="I12" s="18">
        <f>+I11*4/12</f>
        <v>383308.0072132803</v>
      </c>
      <c r="J12" s="18">
        <f>+I11*8/12</f>
        <v>766616.01442656061</v>
      </c>
      <c r="K12" s="18">
        <f>+K11*4/12</f>
        <v>383308.0072132803</v>
      </c>
      <c r="L12" s="18">
        <f>+K11*8/12</f>
        <v>766616.01442656061</v>
      </c>
      <c r="M12" s="18">
        <f>+M11*4/12</f>
        <v>383308.0072132803</v>
      </c>
      <c r="N12" s="18">
        <f>+M11*8/12</f>
        <v>766616.01442656061</v>
      </c>
      <c r="O12" s="18">
        <f>+O11*4/12</f>
        <v>0</v>
      </c>
      <c r="P12" s="18">
        <f>+O11*8/12</f>
        <v>0</v>
      </c>
    </row>
    <row r="13" spans="2:24" ht="15.95" customHeight="1" x14ac:dyDescent="0.25">
      <c r="B13" s="7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8"/>
    </row>
    <row r="14" spans="2:24" ht="15.95" customHeight="1" x14ac:dyDescent="0.25">
      <c r="B14" s="14" t="s">
        <v>15</v>
      </c>
      <c r="C14" s="15">
        <v>1149924.0216398409</v>
      </c>
      <c r="D14" s="16"/>
      <c r="E14" s="17">
        <v>1149924.0216398409</v>
      </c>
      <c r="F14" s="17"/>
      <c r="G14" s="17">
        <v>1149924.0216398409</v>
      </c>
      <c r="H14" s="17"/>
      <c r="I14" s="17">
        <v>1149924.0216398409</v>
      </c>
      <c r="J14" s="17"/>
      <c r="K14" s="17">
        <v>1149924.0216398409</v>
      </c>
      <c r="L14" s="17"/>
      <c r="M14" s="15">
        <v>1149924.0216398409</v>
      </c>
      <c r="N14" s="16"/>
      <c r="O14" s="20"/>
      <c r="P14" s="20"/>
      <c r="S14" s="21">
        <v>138.72999999999999</v>
      </c>
      <c r="T14" s="21">
        <v>59.37</v>
      </c>
      <c r="U14" s="21">
        <f>+S14*(1+U10/100)</f>
        <v>144.40405699999999</v>
      </c>
      <c r="V14" s="21">
        <f>+T14*(1+U10/100)</f>
        <v>61.798232999999996</v>
      </c>
      <c r="W14" s="21">
        <f>+U14*(1+W10/100)</f>
        <v>148.99610601259999</v>
      </c>
      <c r="X14" s="21">
        <f>+V14*(1+W10/100)</f>
        <v>63.763416809399999</v>
      </c>
    </row>
    <row r="15" spans="2:24" ht="15.95" customHeight="1" x14ac:dyDescent="0.25">
      <c r="B15" s="14" t="s">
        <v>16</v>
      </c>
      <c r="C15" s="18">
        <f>+C14*C10/12</f>
        <v>383308.0072132803</v>
      </c>
      <c r="D15" s="18">
        <f>+C14*D10/12</f>
        <v>766616.01442656061</v>
      </c>
      <c r="E15" s="18">
        <f>+E14*4/12</f>
        <v>383308.0072132803</v>
      </c>
      <c r="F15" s="18">
        <f>+E14*8/12</f>
        <v>766616.01442656061</v>
      </c>
      <c r="G15" s="18">
        <f>+G14*4/12</f>
        <v>383308.0072132803</v>
      </c>
      <c r="H15" s="18">
        <f>+G14*8/12</f>
        <v>766616.01442656061</v>
      </c>
      <c r="I15" s="18">
        <f>+I14*4/12</f>
        <v>383308.0072132803</v>
      </c>
      <c r="J15" s="18">
        <f>+I14*8/12</f>
        <v>766616.01442656061</v>
      </c>
      <c r="K15" s="18">
        <f>+K14*4/12</f>
        <v>383308.0072132803</v>
      </c>
      <c r="L15" s="18">
        <f>+K14*8/12</f>
        <v>766616.01442656061</v>
      </c>
      <c r="M15" s="18">
        <f>+M14*4/12</f>
        <v>383308.0072132803</v>
      </c>
      <c r="N15" s="18">
        <f>+M14*8/12</f>
        <v>766616.01442656061</v>
      </c>
      <c r="O15" s="18">
        <f>+O14*4/12</f>
        <v>0</v>
      </c>
      <c r="P15" s="18">
        <f>+O14*8/12</f>
        <v>0</v>
      </c>
    </row>
    <row r="16" spans="2:24" ht="15.95" customHeight="1" x14ac:dyDescent="0.25">
      <c r="B16" s="14" t="s">
        <v>17</v>
      </c>
      <c r="C16" s="22">
        <f>+W14</f>
        <v>148.99610601259999</v>
      </c>
      <c r="D16" s="23"/>
      <c r="E16" s="24">
        <f>+C16*1.03</f>
        <v>153.46598919297799</v>
      </c>
      <c r="F16" s="24"/>
      <c r="G16" s="24">
        <f>+E16*1.03</f>
        <v>158.06996886876732</v>
      </c>
      <c r="H16" s="24"/>
      <c r="I16" s="24">
        <f>+G16*1.03</f>
        <v>162.81206793483034</v>
      </c>
      <c r="J16" s="24"/>
      <c r="K16" s="24">
        <f>+I16*1.03</f>
        <v>167.69642997287525</v>
      </c>
      <c r="L16" s="24"/>
      <c r="M16" s="25">
        <f t="shared" ref="M16" si="0">+K16*1.03</f>
        <v>172.72732287206151</v>
      </c>
      <c r="N16" s="26"/>
      <c r="O16" s="25"/>
      <c r="P16" s="26"/>
    </row>
    <row r="17" spans="2:24" ht="15.95" customHeight="1" x14ac:dyDescent="0.25">
      <c r="B17" s="14" t="s">
        <v>18</v>
      </c>
      <c r="C17" s="27"/>
      <c r="D17" s="27">
        <v>1</v>
      </c>
      <c r="E17" s="28">
        <f>+(E15+D15)/(E12+D12)</f>
        <v>1</v>
      </c>
      <c r="F17" s="28"/>
      <c r="G17" s="28">
        <f>+(G15+F15)/(G12+F12)</f>
        <v>1</v>
      </c>
      <c r="H17" s="28"/>
      <c r="I17" s="28">
        <f>+(I15+H15)/(I12+H12)</f>
        <v>1</v>
      </c>
      <c r="J17" s="28"/>
      <c r="K17" s="28">
        <f>+(K15+J15)/(K12+J12)</f>
        <v>1</v>
      </c>
      <c r="L17" s="28"/>
      <c r="M17" s="28">
        <f>+(M15+L15)/(M12+L12)</f>
        <v>1</v>
      </c>
      <c r="N17" s="28"/>
      <c r="O17" s="28">
        <f>+(O15+N15)/(O12+N12)</f>
        <v>1</v>
      </c>
      <c r="P17" s="28"/>
    </row>
    <row r="18" spans="2:24" ht="15.95" customHeight="1" x14ac:dyDescent="0.25">
      <c r="B18" s="14" t="s">
        <v>19</v>
      </c>
      <c r="C18" s="29"/>
      <c r="D18" s="29">
        <v>1</v>
      </c>
      <c r="E18" s="29">
        <f>+IF(E17&lt;=1,D18,E17)</f>
        <v>1</v>
      </c>
      <c r="F18" s="29">
        <f>+E18</f>
        <v>1</v>
      </c>
      <c r="G18" s="29">
        <f>+IF(G17&lt;=1,F18,G17+F18-1)</f>
        <v>1</v>
      </c>
      <c r="H18" s="29">
        <f>+G18</f>
        <v>1</v>
      </c>
      <c r="I18" s="29">
        <f>+IF(I17&lt;=1,H18,I17+H18-1)</f>
        <v>1</v>
      </c>
      <c r="J18" s="29">
        <f>+I18</f>
        <v>1</v>
      </c>
      <c r="K18" s="29">
        <f>+IF(K17&lt;=1,J18,K17+J18-1)</f>
        <v>1</v>
      </c>
      <c r="L18" s="29">
        <f>+K18</f>
        <v>1</v>
      </c>
      <c r="M18" s="29">
        <f>+IF(M17&lt;=1,L18,M17+L18-1)</f>
        <v>1</v>
      </c>
      <c r="N18" s="29">
        <f>+M18</f>
        <v>1</v>
      </c>
      <c r="O18" s="29">
        <f>+IF(O17&lt;=1,N18,O17+N18-1)</f>
        <v>1</v>
      </c>
      <c r="P18" s="29">
        <f>+O18</f>
        <v>1</v>
      </c>
    </row>
    <row r="19" spans="2:24" ht="15.95" customHeight="1" x14ac:dyDescent="0.25">
      <c r="B19" s="14" t="s">
        <v>20</v>
      </c>
      <c r="C19" s="30">
        <f>C16*C15</f>
        <v>57111400.478228353</v>
      </c>
      <c r="D19" s="30">
        <f>+D18*C16*D15</f>
        <v>114222800.95645671</v>
      </c>
      <c r="E19" s="30">
        <f t="shared" ref="E19" si="1">+E18*E16*E15</f>
        <v>58824742.492575206</v>
      </c>
      <c r="F19" s="30">
        <f>+F18*E16*F15</f>
        <v>117649484.98515041</v>
      </c>
      <c r="G19" s="30">
        <f t="shared" ref="G19" si="2">+G18*G16*G15</f>
        <v>60589484.767352454</v>
      </c>
      <c r="H19" s="30">
        <f>+H18*G16*H15</f>
        <v>121178969.53470491</v>
      </c>
      <c r="I19" s="30">
        <f t="shared" ref="I19" si="3">+I18*I16*I15</f>
        <v>62407169.310373031</v>
      </c>
      <c r="J19" s="30">
        <f>+J18*I16*J15</f>
        <v>124814338.62074606</v>
      </c>
      <c r="K19" s="30">
        <f t="shared" ref="K19" si="4">+K18*K16*K15</f>
        <v>64279384.389684223</v>
      </c>
      <c r="L19" s="30">
        <f>+L18*K16*L15</f>
        <v>128558768.77936845</v>
      </c>
      <c r="M19" s="30">
        <f t="shared" ref="M19:O19" si="5">+M18*M16*M15</f>
        <v>66207765.921374746</v>
      </c>
      <c r="N19" s="30">
        <f>+N18*M16*N15</f>
        <v>132415531.84274949</v>
      </c>
      <c r="O19" s="30">
        <f t="shared" si="5"/>
        <v>0</v>
      </c>
      <c r="P19" s="30">
        <f>+P18*O16*P15</f>
        <v>0</v>
      </c>
    </row>
    <row r="20" spans="2:24" ht="15.95" customHeight="1" x14ac:dyDescent="0.25">
      <c r="B20" s="31" t="s">
        <v>21</v>
      </c>
      <c r="C20" s="32" t="s">
        <v>22</v>
      </c>
      <c r="D20" s="33"/>
      <c r="E20" s="34" t="str">
        <f>+IF(E18&lt;&gt;D18,"Si","No")</f>
        <v>No</v>
      </c>
      <c r="F20" s="34"/>
      <c r="G20" s="34" t="str">
        <f>+IF(G18&lt;&gt;F18,"Si","No")</f>
        <v>No</v>
      </c>
      <c r="H20" s="34"/>
      <c r="I20" s="34" t="str">
        <f>+IF(I18&lt;&gt;H18,"Si","No")</f>
        <v>No</v>
      </c>
      <c r="J20" s="34"/>
      <c r="K20" s="34" t="str">
        <f>+IF(K18&lt;&gt;J18,"Si","No")</f>
        <v>No</v>
      </c>
      <c r="L20" s="34"/>
      <c r="M20" s="32" t="str">
        <f>+IF(M18&lt;&gt;L18,"Si","No")</f>
        <v>No</v>
      </c>
      <c r="N20" s="33"/>
      <c r="O20" s="32" t="str">
        <f>+IF(O18&lt;&gt;N18,"Si","No")</f>
        <v>No</v>
      </c>
      <c r="P20" s="33"/>
    </row>
    <row r="21" spans="2:24" ht="15.95" customHeight="1" x14ac:dyDescent="0.25">
      <c r="B21" s="35"/>
      <c r="C21" s="36">
        <f>+IF(C20="No",0,Calcule)</f>
        <v>0</v>
      </c>
      <c r="D21" s="37"/>
      <c r="E21" s="34">
        <f>+D15*C16*(E18-D18)</f>
        <v>0</v>
      </c>
      <c r="F21" s="34"/>
      <c r="G21" s="34">
        <f>+F15*E16*(G18-F18)</f>
        <v>0</v>
      </c>
      <c r="H21" s="34"/>
      <c r="I21" s="34">
        <f>+H15*G16*(I18-H18)</f>
        <v>0</v>
      </c>
      <c r="J21" s="34"/>
      <c r="K21" s="34">
        <f>+J15*I16*(K18-J18)</f>
        <v>0</v>
      </c>
      <c r="L21" s="34"/>
      <c r="M21" s="38">
        <f>+L15*K16*(M18-L18)</f>
        <v>0</v>
      </c>
      <c r="N21" s="38"/>
      <c r="O21" s="38">
        <f>+N15*M16*(O18-N18)</f>
        <v>0</v>
      </c>
      <c r="P21" s="38"/>
    </row>
    <row r="22" spans="2:24" ht="15.95" customHeight="1" x14ac:dyDescent="0.25">
      <c r="B22" s="7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8"/>
    </row>
    <row r="23" spans="2:24" ht="15.95" customHeight="1" x14ac:dyDescent="0.25">
      <c r="B23" s="14" t="s">
        <v>24</v>
      </c>
      <c r="C23" s="39"/>
      <c r="D23" s="40"/>
      <c r="E23" s="41">
        <f>+D19+C19</f>
        <v>171334201.43468505</v>
      </c>
      <c r="F23" s="41"/>
      <c r="G23" s="41">
        <f t="shared" ref="G23" si="6">+F19+E19</f>
        <v>176474227.47772563</v>
      </c>
      <c r="H23" s="41"/>
      <c r="I23" s="41">
        <f t="shared" ref="I23" si="7">+H19+G19</f>
        <v>181768454.30205736</v>
      </c>
      <c r="J23" s="41"/>
      <c r="K23" s="41">
        <f t="shared" ref="K23" si="8">+J19+I19</f>
        <v>187221507.93111908</v>
      </c>
      <c r="L23" s="41"/>
      <c r="M23" s="41">
        <f t="shared" ref="M23" si="9">+L19+K19</f>
        <v>192838153.16905266</v>
      </c>
      <c r="N23" s="41"/>
      <c r="O23" s="41">
        <f t="shared" ref="O23" si="10">+N19+M19</f>
        <v>198623297.76412424</v>
      </c>
      <c r="P23" s="41"/>
    </row>
    <row r="24" spans="2:24" ht="15.95" customHeight="1" x14ac:dyDescent="0.25">
      <c r="B24" s="14"/>
      <c r="C24" s="42"/>
      <c r="D24" s="42"/>
      <c r="E24" s="43"/>
      <c r="F24" s="42"/>
      <c r="G24" s="43">
        <f>+E19+D19</f>
        <v>173047543.44903192</v>
      </c>
      <c r="H24" s="42"/>
      <c r="I24" s="43">
        <f>+G19+F19</f>
        <v>178238969.75250286</v>
      </c>
      <c r="J24" s="42"/>
      <c r="K24" s="43">
        <f>+I19+H19</f>
        <v>183586138.84507793</v>
      </c>
      <c r="L24" s="42"/>
      <c r="M24" s="43">
        <f>+K19+J19</f>
        <v>189093723.01043028</v>
      </c>
      <c r="N24" s="42"/>
      <c r="O24" s="43">
        <f>+M19+L19</f>
        <v>194766534.7007432</v>
      </c>
      <c r="P24" s="42"/>
    </row>
    <row r="25" spans="2:24" ht="15.95" customHeight="1" x14ac:dyDescent="0.25">
      <c r="B25" s="44"/>
      <c r="C25" s="45"/>
      <c r="D25" s="45"/>
      <c r="E25" s="45"/>
      <c r="F25" s="45"/>
      <c r="G25" s="46"/>
      <c r="H25" s="45"/>
      <c r="I25" s="46"/>
      <c r="J25" s="45"/>
      <c r="K25" s="46"/>
      <c r="L25" s="45"/>
      <c r="M25" s="46"/>
      <c r="N25" s="45"/>
      <c r="O25" s="46"/>
      <c r="P25" s="45"/>
    </row>
    <row r="26" spans="2:24" ht="15.95" customHeigh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2:24" ht="18" customHeight="1" x14ac:dyDescent="0.25">
      <c r="B27" s="3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24" ht="30" customHeight="1" x14ac:dyDescent="0.25">
      <c r="B28" s="9" t="s">
        <v>4</v>
      </c>
      <c r="C28" s="5" t="s">
        <v>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24" ht="15.95" customHeight="1" x14ac:dyDescent="0.25">
      <c r="B29" s="9"/>
      <c r="C29" s="7">
        <v>2019</v>
      </c>
      <c r="D29" s="8"/>
      <c r="E29" s="9">
        <v>2020</v>
      </c>
      <c r="F29" s="9"/>
      <c r="G29" s="9">
        <v>2021</v>
      </c>
      <c r="H29" s="9"/>
      <c r="I29" s="9">
        <v>2022</v>
      </c>
      <c r="J29" s="9"/>
      <c r="K29" s="9">
        <v>2023</v>
      </c>
      <c r="L29" s="9"/>
      <c r="M29" s="9">
        <v>2024</v>
      </c>
      <c r="N29" s="9"/>
      <c r="O29" s="9">
        <v>2025</v>
      </c>
      <c r="P29" s="9"/>
      <c r="S29" s="10">
        <v>2017</v>
      </c>
      <c r="T29" s="10"/>
      <c r="U29" s="10">
        <v>2018</v>
      </c>
      <c r="V29" s="10"/>
      <c r="W29" s="10">
        <v>2019</v>
      </c>
      <c r="X29" s="10"/>
    </row>
    <row r="30" spans="2:24" ht="15.95" customHeight="1" x14ac:dyDescent="0.25">
      <c r="B30" s="4" t="s">
        <v>11</v>
      </c>
      <c r="C30" s="4">
        <v>4</v>
      </c>
      <c r="D30" s="4">
        <v>8</v>
      </c>
      <c r="E30" s="4">
        <v>4</v>
      </c>
      <c r="F30" s="4">
        <v>8</v>
      </c>
      <c r="G30" s="4">
        <v>4</v>
      </c>
      <c r="H30" s="4">
        <v>8</v>
      </c>
      <c r="I30" s="4">
        <v>4</v>
      </c>
      <c r="J30" s="4">
        <v>8</v>
      </c>
      <c r="K30" s="4">
        <v>4</v>
      </c>
      <c r="L30" s="4">
        <v>8</v>
      </c>
      <c r="M30" s="4">
        <v>4</v>
      </c>
      <c r="N30" s="4">
        <v>8</v>
      </c>
      <c r="O30" s="4">
        <v>4</v>
      </c>
      <c r="P30" s="4">
        <v>8</v>
      </c>
      <c r="S30" s="13">
        <v>5.75</v>
      </c>
      <c r="T30" s="13"/>
      <c r="U30" s="13">
        <v>4.09</v>
      </c>
      <c r="V30" s="13"/>
      <c r="W30" s="13">
        <v>3.18</v>
      </c>
      <c r="X30" s="13"/>
    </row>
    <row r="31" spans="2:24" ht="15.95" customHeight="1" x14ac:dyDescent="0.25">
      <c r="B31" s="42" t="s">
        <v>26</v>
      </c>
      <c r="C31" s="15">
        <v>26915.976000000002</v>
      </c>
      <c r="D31" s="16"/>
      <c r="E31" s="17">
        <v>26915.976000000002</v>
      </c>
      <c r="F31" s="17"/>
      <c r="G31" s="17">
        <v>26915.976000000002</v>
      </c>
      <c r="H31" s="17"/>
      <c r="I31" s="17">
        <v>26915.976000000002</v>
      </c>
      <c r="J31" s="17"/>
      <c r="K31" s="17">
        <v>26915.976000000002</v>
      </c>
      <c r="L31" s="17"/>
      <c r="M31" s="15">
        <v>26915.976000000002</v>
      </c>
      <c r="N31" s="16"/>
      <c r="O31" s="15"/>
      <c r="P31" s="16"/>
    </row>
    <row r="32" spans="2:24" ht="15.95" customHeight="1" x14ac:dyDescent="0.25">
      <c r="B32" s="42"/>
      <c r="C32" s="18">
        <f>+C31*C30/12</f>
        <v>8971.9920000000002</v>
      </c>
      <c r="D32" s="18">
        <f>+C31*D30/12</f>
        <v>17943.984</v>
      </c>
      <c r="E32" s="18">
        <f>+E31*4/12</f>
        <v>8971.9920000000002</v>
      </c>
      <c r="F32" s="18">
        <f>+E31*8/12</f>
        <v>17943.984</v>
      </c>
      <c r="G32" s="18">
        <f>+G31*4/12</f>
        <v>8971.9920000000002</v>
      </c>
      <c r="H32" s="18">
        <f>+G31*8/12</f>
        <v>17943.984</v>
      </c>
      <c r="I32" s="18">
        <f>+I31*4/12</f>
        <v>8971.9920000000002</v>
      </c>
      <c r="J32" s="18">
        <f>+I31*8/12</f>
        <v>17943.984</v>
      </c>
      <c r="K32" s="18">
        <f>+K31*4/12</f>
        <v>8971.9920000000002</v>
      </c>
      <c r="L32" s="18">
        <f>+K31*8/12</f>
        <v>17943.984</v>
      </c>
      <c r="M32" s="18">
        <f>+M31*4/12</f>
        <v>8971.9920000000002</v>
      </c>
      <c r="N32" s="18">
        <f>+M31*8/12</f>
        <v>17943.984</v>
      </c>
      <c r="O32" s="18">
        <f>+O31*4/12</f>
        <v>0</v>
      </c>
      <c r="P32" s="18">
        <f>+O31*8/12</f>
        <v>0</v>
      </c>
    </row>
    <row r="33" spans="2:24" ht="15.95" customHeight="1" x14ac:dyDescent="0.25">
      <c r="B33" s="7" t="s">
        <v>14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8"/>
    </row>
    <row r="34" spans="2:24" ht="15.95" customHeight="1" x14ac:dyDescent="0.25">
      <c r="B34" s="42" t="s">
        <v>15</v>
      </c>
      <c r="C34" s="47">
        <v>30000</v>
      </c>
      <c r="D34" s="48"/>
      <c r="E34" s="49">
        <v>30000</v>
      </c>
      <c r="F34" s="49"/>
      <c r="G34" s="49">
        <v>30000</v>
      </c>
      <c r="H34" s="49"/>
      <c r="I34" s="49">
        <v>30000</v>
      </c>
      <c r="J34" s="49"/>
      <c r="K34" s="49">
        <v>30000</v>
      </c>
      <c r="L34" s="49"/>
      <c r="M34" s="47">
        <v>30000</v>
      </c>
      <c r="N34" s="48"/>
      <c r="O34" s="47"/>
      <c r="P34" s="48"/>
      <c r="S34" s="21">
        <v>138.72999999999999</v>
      </c>
      <c r="T34" s="21">
        <v>59.37</v>
      </c>
      <c r="U34" s="21">
        <f>+S34*(1+U30/100)</f>
        <v>144.40405699999999</v>
      </c>
      <c r="V34" s="21">
        <f>+T34*(1+U30/100)</f>
        <v>61.798232999999996</v>
      </c>
      <c r="W34" s="21">
        <f>+U34*(1+W30/100)</f>
        <v>148.99610601259999</v>
      </c>
      <c r="X34" s="21">
        <f>+V34*(1+W30/100)</f>
        <v>63.763416809399999</v>
      </c>
    </row>
    <row r="35" spans="2:24" ht="15.95" customHeight="1" x14ac:dyDescent="0.25">
      <c r="B35" s="42" t="s">
        <v>16</v>
      </c>
      <c r="C35" s="18">
        <f>+C34*C30/12</f>
        <v>10000</v>
      </c>
      <c r="D35" s="18">
        <f>+C34*0.666666666666667</f>
        <v>20000.000000000007</v>
      </c>
      <c r="E35" s="18">
        <f>+E34*4/12</f>
        <v>10000</v>
      </c>
      <c r="F35" s="18">
        <f>+E34*8/12</f>
        <v>20000</v>
      </c>
      <c r="G35" s="18">
        <f>+G34*4/12</f>
        <v>10000</v>
      </c>
      <c r="H35" s="18">
        <f>+G34*8/12</f>
        <v>20000</v>
      </c>
      <c r="I35" s="18">
        <f>+I34*4/12</f>
        <v>10000</v>
      </c>
      <c r="J35" s="18">
        <f>+I34*8/12</f>
        <v>20000</v>
      </c>
      <c r="K35" s="18">
        <f>+K34*4/12</f>
        <v>10000</v>
      </c>
      <c r="L35" s="18">
        <f>+K34*8/12</f>
        <v>20000</v>
      </c>
      <c r="M35" s="18">
        <f>+M34*4/12</f>
        <v>10000</v>
      </c>
      <c r="N35" s="18">
        <f>+M34*8/12</f>
        <v>20000</v>
      </c>
      <c r="O35" s="18">
        <f>+O34*4/12</f>
        <v>0</v>
      </c>
      <c r="P35" s="18">
        <f>+O34*8/12</f>
        <v>0</v>
      </c>
    </row>
    <row r="36" spans="2:24" ht="15.95" customHeight="1" x14ac:dyDescent="0.25">
      <c r="B36" s="42" t="s">
        <v>17</v>
      </c>
      <c r="C36" s="22">
        <f>+W34</f>
        <v>148.99610601259999</v>
      </c>
      <c r="D36" s="23"/>
      <c r="E36" s="24">
        <f>+C36*1.03</f>
        <v>153.46598919297799</v>
      </c>
      <c r="F36" s="24"/>
      <c r="G36" s="24">
        <f>+E36*1.03</f>
        <v>158.06996886876732</v>
      </c>
      <c r="H36" s="24"/>
      <c r="I36" s="24">
        <f>+G36*1.03</f>
        <v>162.81206793483034</v>
      </c>
      <c r="J36" s="24"/>
      <c r="K36" s="24">
        <f>+I36*1.03</f>
        <v>167.69642997287525</v>
      </c>
      <c r="L36" s="24"/>
      <c r="M36" s="25">
        <f t="shared" ref="M36" si="11">+K36*1.03</f>
        <v>172.72732287206151</v>
      </c>
      <c r="N36" s="26"/>
      <c r="O36" s="25"/>
      <c r="P36" s="26"/>
    </row>
    <row r="37" spans="2:24" ht="15.95" customHeight="1" x14ac:dyDescent="0.25">
      <c r="B37" s="42" t="s">
        <v>18</v>
      </c>
      <c r="C37" s="27"/>
      <c r="D37" s="27">
        <v>1</v>
      </c>
      <c r="E37" s="28">
        <f>+(E35+D35)/(E32+D32)</f>
        <v>1.1145796830848713</v>
      </c>
      <c r="F37" s="28"/>
      <c r="G37" s="28">
        <f>+(G35+F35)/(G32+F32)</f>
        <v>1.1145796830848711</v>
      </c>
      <c r="H37" s="28"/>
      <c r="I37" s="28">
        <f>+(I35+H35)/(I32+H32)</f>
        <v>1.1145796830848711</v>
      </c>
      <c r="J37" s="28"/>
      <c r="K37" s="28">
        <f>+(K35+J35)/(K32+J32)</f>
        <v>1.1145796830848711</v>
      </c>
      <c r="L37" s="28"/>
      <c r="M37" s="28">
        <f>+(M35+L35)/(M32+L32)</f>
        <v>1.1145796830848711</v>
      </c>
      <c r="N37" s="28"/>
      <c r="O37" s="28">
        <v>1</v>
      </c>
      <c r="P37" s="28"/>
    </row>
    <row r="38" spans="2:24" ht="15.95" customHeight="1" x14ac:dyDescent="0.25">
      <c r="B38" s="42" t="s">
        <v>19</v>
      </c>
      <c r="C38" s="29"/>
      <c r="D38" s="29">
        <v>1</v>
      </c>
      <c r="E38" s="29">
        <f>+IF(E37&lt;=1,D38,E37)</f>
        <v>1.1145796830848713</v>
      </c>
      <c r="F38" s="29">
        <f>+E38</f>
        <v>1.1145796830848713</v>
      </c>
      <c r="G38" s="29">
        <f>+IF(G37&lt;=1,F38,G37+F38-1)</f>
        <v>1.2291593661697426</v>
      </c>
      <c r="H38" s="29">
        <f>+G38</f>
        <v>1.2291593661697426</v>
      </c>
      <c r="I38" s="29">
        <f>+IF(I37&lt;=1,H38,I37+H38-1)</f>
        <v>1.343739049254614</v>
      </c>
      <c r="J38" s="29">
        <f>+I38</f>
        <v>1.343739049254614</v>
      </c>
      <c r="K38" s="29">
        <f>+IF(K37&lt;=1,J38,K37+J38-1)</f>
        <v>1.4583187323394853</v>
      </c>
      <c r="L38" s="29">
        <f>+K38</f>
        <v>1.4583187323394853</v>
      </c>
      <c r="M38" s="29">
        <f>+IF(M37&lt;=1,L38,M37+L38-1)</f>
        <v>1.5728984154243566</v>
      </c>
      <c r="N38" s="29">
        <f>+M38</f>
        <v>1.5728984154243566</v>
      </c>
      <c r="O38" s="29">
        <f>+IF(O37&lt;=1,N38,O37+N38-1)</f>
        <v>1.5728984154243566</v>
      </c>
      <c r="P38" s="29">
        <f>+O38</f>
        <v>1.5728984154243566</v>
      </c>
    </row>
    <row r="39" spans="2:24" ht="15.95" customHeight="1" x14ac:dyDescent="0.25">
      <c r="B39" s="42" t="s">
        <v>20</v>
      </c>
      <c r="C39" s="30">
        <f>C36*C35</f>
        <v>1489961.0601259999</v>
      </c>
      <c r="D39" s="30">
        <f>+D38*C36*D35</f>
        <v>2979922.1202520011</v>
      </c>
      <c r="E39" s="30">
        <f t="shared" ref="E39" si="12">+E38*E36*E35</f>
        <v>1710500.7359901569</v>
      </c>
      <c r="F39" s="30">
        <f>+F38*E36*F35</f>
        <v>3421001.4719803138</v>
      </c>
      <c r="G39" s="30">
        <f t="shared" ref="G39" si="13">+G38*G36*G35</f>
        <v>1942931.8274520501</v>
      </c>
      <c r="H39" s="30">
        <f>+H38*G36*H35</f>
        <v>3885863.6549041001</v>
      </c>
      <c r="I39" s="30">
        <f t="shared" ref="I39" si="14">+I38*I36*I35</f>
        <v>2187769.3337392653</v>
      </c>
      <c r="J39" s="30">
        <f>+J38*I36*J35</f>
        <v>4375538.6674785307</v>
      </c>
      <c r="K39" s="30">
        <f t="shared" ref="K39" si="15">+K38*K36*K35</f>
        <v>2445548.4517590073</v>
      </c>
      <c r="L39" s="30">
        <f>+L38*K36*L35</f>
        <v>4891096.9035180146</v>
      </c>
      <c r="M39" s="30">
        <f t="shared" ref="M39:O39" si="16">+M38*M36*M35</f>
        <v>2716825.3244595677</v>
      </c>
      <c r="N39" s="30">
        <f>+N38*M36*N35</f>
        <v>5433650.6489191353</v>
      </c>
      <c r="O39" s="30">
        <f t="shared" si="16"/>
        <v>0</v>
      </c>
      <c r="P39" s="30">
        <f>+P38*O36*P35</f>
        <v>0</v>
      </c>
    </row>
    <row r="40" spans="2:24" ht="15.95" customHeight="1" x14ac:dyDescent="0.25">
      <c r="B40" s="50" t="s">
        <v>21</v>
      </c>
      <c r="C40" s="32" t="s">
        <v>22</v>
      </c>
      <c r="D40" s="33"/>
      <c r="E40" s="34" t="str">
        <f>+IF(E38&lt;&gt;D38,"Si","No")</f>
        <v>Si</v>
      </c>
      <c r="F40" s="34"/>
      <c r="G40" s="34" t="str">
        <f>+IF(G38&lt;&gt;F38,"Si","No")</f>
        <v>Si</v>
      </c>
      <c r="H40" s="34"/>
      <c r="I40" s="34" t="str">
        <f>+IF(I38&lt;&gt;H38,"Si","No")</f>
        <v>Si</v>
      </c>
      <c r="J40" s="34"/>
      <c r="K40" s="34" t="str">
        <f>+IF(K38&lt;&gt;J38,"Si","No")</f>
        <v>Si</v>
      </c>
      <c r="L40" s="34"/>
      <c r="M40" s="32" t="str">
        <f>+IF(M38&lt;&gt;L38,"Si","No")</f>
        <v>Si</v>
      </c>
      <c r="N40" s="33"/>
      <c r="O40" s="32" t="str">
        <f>+IF(O38&lt;&gt;N38,"Si","No")</f>
        <v>No</v>
      </c>
      <c r="P40" s="33"/>
    </row>
    <row r="41" spans="2:24" ht="15.95" customHeight="1" x14ac:dyDescent="0.25">
      <c r="B41" s="51"/>
      <c r="C41" s="36">
        <f>+IF(C40="No",0,Calcule)</f>
        <v>0</v>
      </c>
      <c r="D41" s="37"/>
      <c r="E41" s="34">
        <f>+D35*C36*(E38-D38)</f>
        <v>341438.53215607209</v>
      </c>
      <c r="F41" s="34"/>
      <c r="G41" s="34">
        <f>+F35*E36*(G38-F38)</f>
        <v>351681.68812075409</v>
      </c>
      <c r="H41" s="34"/>
      <c r="I41" s="34">
        <f>+H35*G36*(I38-H38)</f>
        <v>362232.13876437675</v>
      </c>
      <c r="J41" s="34"/>
      <c r="K41" s="34">
        <f>+J35*I36*(K38-J38)</f>
        <v>373099.10292730801</v>
      </c>
      <c r="L41" s="34"/>
      <c r="M41" s="36">
        <f>+L35*K36*(M38-L38)</f>
        <v>384292.07601512724</v>
      </c>
      <c r="N41" s="37"/>
      <c r="O41" s="36">
        <f>+N35*M36*(O38-N38)</f>
        <v>0</v>
      </c>
      <c r="P41" s="37"/>
    </row>
    <row r="42" spans="2:24" ht="15.95" customHeight="1" x14ac:dyDescent="0.25">
      <c r="B42" s="7" t="s">
        <v>23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/>
    </row>
    <row r="43" spans="2:24" ht="15.95" customHeight="1" x14ac:dyDescent="0.25">
      <c r="B43" s="42" t="s">
        <v>24</v>
      </c>
      <c r="C43" s="52"/>
      <c r="D43" s="53"/>
      <c r="E43" s="41">
        <f>+D39+C39</f>
        <v>4469883.1803780012</v>
      </c>
      <c r="F43" s="41"/>
      <c r="G43" s="52">
        <f>+E39+F39+E41</f>
        <v>5472940.7401265427</v>
      </c>
      <c r="H43" s="53"/>
      <c r="I43" s="52">
        <f t="shared" ref="I43" si="17">+G39+H39+G41</f>
        <v>6180477.1704769041</v>
      </c>
      <c r="J43" s="53"/>
      <c r="K43" s="52">
        <f t="shared" ref="K43" si="18">+I39+J39+I41</f>
        <v>6925540.1399821723</v>
      </c>
      <c r="L43" s="53"/>
      <c r="M43" s="52">
        <f t="shared" ref="M43" si="19">+K39+L39+K41</f>
        <v>7709744.4582043299</v>
      </c>
      <c r="N43" s="53"/>
      <c r="O43" s="52">
        <f>+M39+N39+M41</f>
        <v>8534768.0493938308</v>
      </c>
      <c r="P43" s="53"/>
    </row>
    <row r="44" spans="2:24" ht="15.95" customHeight="1" x14ac:dyDescent="0.25">
      <c r="B44" s="42"/>
      <c r="C44" s="14"/>
      <c r="D44" s="54"/>
      <c r="E44" s="55"/>
      <c r="F44" s="56">
        <f>+E39+D39+E41</f>
        <v>5031861.3883982301</v>
      </c>
      <c r="G44" s="55"/>
      <c r="H44" s="56">
        <f t="shared" ref="H44" si="20">+G39+F39+G41</f>
        <v>5715614.9875531178</v>
      </c>
      <c r="I44" s="55"/>
      <c r="J44" s="56">
        <f t="shared" ref="J44" si="21">+I39+H39+I41</f>
        <v>6435865.1274077417</v>
      </c>
      <c r="K44" s="55"/>
      <c r="L44" s="56">
        <f t="shared" ref="L44" si="22">+K39+J39+K41</f>
        <v>7194186.222164846</v>
      </c>
      <c r="M44" s="55"/>
      <c r="N44" s="56">
        <f t="shared" ref="N44" si="23">+M39+L39+M41</f>
        <v>7992214.3039927091</v>
      </c>
      <c r="O44" s="55"/>
      <c r="P44" s="42"/>
    </row>
    <row r="47" spans="2:24" ht="18" customHeight="1" x14ac:dyDescent="0.25">
      <c r="B47" s="3" t="s">
        <v>27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24" ht="30" customHeight="1" x14ac:dyDescent="0.25">
      <c r="B48" s="9" t="s">
        <v>4</v>
      </c>
      <c r="C48" s="5" t="s">
        <v>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24" ht="15.95" customHeight="1" x14ac:dyDescent="0.25">
      <c r="B49" s="9"/>
      <c r="C49" s="7">
        <v>2019</v>
      </c>
      <c r="D49" s="8"/>
      <c r="E49" s="9">
        <v>2020</v>
      </c>
      <c r="F49" s="9"/>
      <c r="G49" s="9">
        <v>2021</v>
      </c>
      <c r="H49" s="9"/>
      <c r="I49" s="9">
        <v>2022</v>
      </c>
      <c r="J49" s="9"/>
      <c r="K49" s="9">
        <v>2023</v>
      </c>
      <c r="L49" s="9"/>
      <c r="M49" s="9">
        <v>2024</v>
      </c>
      <c r="N49" s="9"/>
      <c r="O49" s="9">
        <v>2025</v>
      </c>
      <c r="P49" s="9"/>
      <c r="S49" s="10">
        <v>2017</v>
      </c>
      <c r="T49" s="10"/>
      <c r="U49" s="10">
        <v>2018</v>
      </c>
      <c r="V49" s="10"/>
      <c r="W49" s="10">
        <v>2019</v>
      </c>
      <c r="X49" s="10"/>
    </row>
    <row r="50" spans="2:24" ht="15.95" customHeight="1" x14ac:dyDescent="0.25">
      <c r="B50" s="4" t="s">
        <v>11</v>
      </c>
      <c r="C50" s="4">
        <v>4</v>
      </c>
      <c r="D50" s="4">
        <v>8</v>
      </c>
      <c r="E50" s="4">
        <v>4</v>
      </c>
      <c r="F50" s="4">
        <v>8</v>
      </c>
      <c r="G50" s="4">
        <v>4</v>
      </c>
      <c r="H50" s="4">
        <v>8</v>
      </c>
      <c r="I50" s="4">
        <v>4</v>
      </c>
      <c r="J50" s="4">
        <v>8</v>
      </c>
      <c r="K50" s="4">
        <v>4</v>
      </c>
      <c r="L50" s="4">
        <v>8</v>
      </c>
      <c r="M50" s="4">
        <v>4</v>
      </c>
      <c r="N50" s="4">
        <v>8</v>
      </c>
      <c r="O50" s="4">
        <v>4</v>
      </c>
      <c r="P50" s="4">
        <v>8</v>
      </c>
      <c r="S50" s="13">
        <v>5.75</v>
      </c>
      <c r="T50" s="13"/>
      <c r="U50" s="13">
        <v>4.09</v>
      </c>
      <c r="V50" s="13"/>
      <c r="W50" s="13">
        <v>3.18</v>
      </c>
      <c r="X50" s="13"/>
    </row>
    <row r="51" spans="2:24" ht="15.95" customHeight="1" x14ac:dyDescent="0.25">
      <c r="B51" s="42" t="s">
        <v>26</v>
      </c>
      <c r="C51" s="15">
        <v>26915.976000000002</v>
      </c>
      <c r="D51" s="16"/>
      <c r="E51" s="17">
        <v>26915.976000000002</v>
      </c>
      <c r="F51" s="17"/>
      <c r="G51" s="17">
        <v>26915.976000000002</v>
      </c>
      <c r="H51" s="17"/>
      <c r="I51" s="17">
        <v>26915.976000000002</v>
      </c>
      <c r="J51" s="17"/>
      <c r="K51" s="17">
        <v>26915.976000000002</v>
      </c>
      <c r="L51" s="17"/>
      <c r="M51" s="15">
        <f>26915.976*0.6</f>
        <v>16149.585599999999</v>
      </c>
      <c r="N51" s="16"/>
      <c r="O51" s="15"/>
      <c r="P51" s="16"/>
    </row>
    <row r="52" spans="2:24" ht="15.95" customHeight="1" x14ac:dyDescent="0.25">
      <c r="B52" s="42"/>
      <c r="C52" s="18">
        <f>+C51*C50/12</f>
        <v>8971.9920000000002</v>
      </c>
      <c r="D52" s="18">
        <f>+C51*D50/12</f>
        <v>17943.984</v>
      </c>
      <c r="E52" s="18">
        <f>+E51*4/12</f>
        <v>8971.9920000000002</v>
      </c>
      <c r="F52" s="18">
        <f>+E51*8/12</f>
        <v>17943.984</v>
      </c>
      <c r="G52" s="18">
        <f>+G51*4/12</f>
        <v>8971.9920000000002</v>
      </c>
      <c r="H52" s="18">
        <f>+G51*8/12</f>
        <v>17943.984</v>
      </c>
      <c r="I52" s="18">
        <f>+I51*4/12</f>
        <v>8971.9920000000002</v>
      </c>
      <c r="J52" s="18">
        <f>+I51*8/12</f>
        <v>17943.984</v>
      </c>
      <c r="K52" s="18">
        <f>+K51*4/12</f>
        <v>8971.9920000000002</v>
      </c>
      <c r="L52" s="18">
        <f>+K51*8/12</f>
        <v>17943.984</v>
      </c>
      <c r="M52" s="18">
        <f>+M51*4/12</f>
        <v>5383.1951999999992</v>
      </c>
      <c r="N52" s="18">
        <f>+M51*8/12</f>
        <v>10766.390399999998</v>
      </c>
      <c r="O52" s="18">
        <f>+O51*4/12</f>
        <v>0</v>
      </c>
      <c r="P52" s="18">
        <f>+O51*8/12</f>
        <v>0</v>
      </c>
    </row>
    <row r="53" spans="2:24" ht="15.95" customHeight="1" x14ac:dyDescent="0.25">
      <c r="B53" s="7" t="s">
        <v>14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/>
    </row>
    <row r="54" spans="2:24" ht="15.95" customHeight="1" x14ac:dyDescent="0.25">
      <c r="B54" s="42" t="s">
        <v>15</v>
      </c>
      <c r="C54" s="47">
        <v>26915.976000000002</v>
      </c>
      <c r="D54" s="48"/>
      <c r="E54" s="49">
        <v>26915.976000000002</v>
      </c>
      <c r="F54" s="49"/>
      <c r="G54" s="49">
        <v>26915.976000000002</v>
      </c>
      <c r="H54" s="49"/>
      <c r="I54" s="49">
        <v>26915.976000000002</v>
      </c>
      <c r="J54" s="49"/>
      <c r="K54" s="49">
        <v>26915.976000000002</v>
      </c>
      <c r="L54" s="49"/>
      <c r="M54" s="47">
        <v>26915.976000000002</v>
      </c>
      <c r="N54" s="48"/>
      <c r="O54" s="47"/>
      <c r="P54" s="48"/>
      <c r="S54" s="21">
        <v>138.72999999999999</v>
      </c>
      <c r="T54" s="21">
        <v>59.37</v>
      </c>
      <c r="U54" s="21">
        <f>+S54*(1+U50/100)</f>
        <v>144.40405699999999</v>
      </c>
      <c r="V54" s="21">
        <f>+T54*(1+U50/100)</f>
        <v>61.798232999999996</v>
      </c>
      <c r="W54" s="21">
        <f>+U54*(1+W50/100)</f>
        <v>148.99610601259999</v>
      </c>
      <c r="X54" s="21">
        <f>+V54*(1+W50/100)</f>
        <v>63.763416809399999</v>
      </c>
    </row>
    <row r="55" spans="2:24" ht="15.95" customHeight="1" x14ac:dyDescent="0.25">
      <c r="B55" s="42" t="s">
        <v>16</v>
      </c>
      <c r="C55" s="18">
        <f>+C54*C50/12</f>
        <v>8971.9920000000002</v>
      </c>
      <c r="D55" s="18">
        <f>+C54*0.666666666666667</f>
        <v>17943.984000000011</v>
      </c>
      <c r="E55" s="18">
        <f>+E54*4/12</f>
        <v>8971.9920000000002</v>
      </c>
      <c r="F55" s="18">
        <f>+E54*8/12</f>
        <v>17943.984</v>
      </c>
      <c r="G55" s="18">
        <f>+G54*4/12</f>
        <v>8971.9920000000002</v>
      </c>
      <c r="H55" s="18">
        <f>+G54*8/12</f>
        <v>17943.984</v>
      </c>
      <c r="I55" s="18">
        <f>+I54*4/12</f>
        <v>8971.9920000000002</v>
      </c>
      <c r="J55" s="18">
        <f>+I54*8/12</f>
        <v>17943.984</v>
      </c>
      <c r="K55" s="18">
        <f>+K54*4/12</f>
        <v>8971.9920000000002</v>
      </c>
      <c r="L55" s="18">
        <f>+K54*8/12</f>
        <v>17943.984</v>
      </c>
      <c r="M55" s="18">
        <f>+M54*4/12</f>
        <v>8971.9920000000002</v>
      </c>
      <c r="N55" s="18">
        <f>+M54*8/12</f>
        <v>17943.984</v>
      </c>
      <c r="O55" s="18">
        <f>+O54*4/12</f>
        <v>0</v>
      </c>
      <c r="P55" s="18">
        <f>+O54*8/12</f>
        <v>0</v>
      </c>
    </row>
    <row r="56" spans="2:24" ht="15.95" customHeight="1" x14ac:dyDescent="0.25">
      <c r="B56" s="42" t="s">
        <v>17</v>
      </c>
      <c r="C56" s="22">
        <f>+W54</f>
        <v>148.99610601259999</v>
      </c>
      <c r="D56" s="23"/>
      <c r="E56" s="24">
        <f>+C56*1.03</f>
        <v>153.46598919297799</v>
      </c>
      <c r="F56" s="24"/>
      <c r="G56" s="24">
        <f>+E56*1.03</f>
        <v>158.06996886876732</v>
      </c>
      <c r="H56" s="24"/>
      <c r="I56" s="24">
        <f>+G56*1.03</f>
        <v>162.81206793483034</v>
      </c>
      <c r="J56" s="24"/>
      <c r="K56" s="24">
        <f>+I56*1.03</f>
        <v>167.69642997287525</v>
      </c>
      <c r="L56" s="24"/>
      <c r="M56" s="25">
        <f t="shared" ref="M56" si="24">+K56*1.03</f>
        <v>172.72732287206151</v>
      </c>
      <c r="N56" s="26"/>
      <c r="O56" s="25"/>
      <c r="P56" s="26"/>
    </row>
    <row r="57" spans="2:24" ht="15.95" customHeight="1" x14ac:dyDescent="0.25">
      <c r="B57" s="42" t="s">
        <v>18</v>
      </c>
      <c r="C57" s="27"/>
      <c r="D57" s="27">
        <v>1</v>
      </c>
      <c r="E57" s="28">
        <f>+(E55+D55)/(E52+D52)</f>
        <v>1.0000000000000002</v>
      </c>
      <c r="F57" s="28"/>
      <c r="G57" s="28">
        <f>+(G55+F55)/(G52+F52)</f>
        <v>1</v>
      </c>
      <c r="H57" s="28"/>
      <c r="I57" s="28">
        <f>+(I55+H55)/(I52+H52)</f>
        <v>1</v>
      </c>
      <c r="J57" s="28"/>
      <c r="K57" s="28">
        <f>+(K55+J55)/(K52+J52)</f>
        <v>1</v>
      </c>
      <c r="L57" s="28"/>
      <c r="M57" s="28">
        <f>+(M55+L55)/(M52+L52)</f>
        <v>1.153846153846154</v>
      </c>
      <c r="N57" s="28"/>
      <c r="O57" s="28">
        <v>1</v>
      </c>
      <c r="P57" s="28"/>
    </row>
    <row r="58" spans="2:24" ht="15.95" customHeight="1" x14ac:dyDescent="0.25">
      <c r="B58" s="42" t="s">
        <v>19</v>
      </c>
      <c r="C58" s="29"/>
      <c r="D58" s="29">
        <v>1</v>
      </c>
      <c r="E58" s="29">
        <f>+IF(E57&lt;=1,D58,E57)</f>
        <v>1</v>
      </c>
      <c r="F58" s="29">
        <f>+E58</f>
        <v>1</v>
      </c>
      <c r="G58" s="29">
        <f>+IF(G57&lt;=1,F58,G57+F58-1)</f>
        <v>1</v>
      </c>
      <c r="H58" s="29">
        <f>+G58</f>
        <v>1</v>
      </c>
      <c r="I58" s="29">
        <f>+IF(I57&lt;=1,H58,I57+H58-1)</f>
        <v>1</v>
      </c>
      <c r="J58" s="29">
        <f>+I58</f>
        <v>1</v>
      </c>
      <c r="K58" s="29">
        <f>+IF(K57&lt;=1,J58,K57+J58-1)</f>
        <v>1</v>
      </c>
      <c r="L58" s="29">
        <f>+K58</f>
        <v>1</v>
      </c>
      <c r="M58" s="29">
        <f>+IF(M57&lt;=1,L58,M57+L58-1)</f>
        <v>1.1538461538461542</v>
      </c>
      <c r="N58" s="29">
        <f>+M58</f>
        <v>1.1538461538461542</v>
      </c>
      <c r="O58" s="29">
        <f>+IF(O57&lt;=1,N58,O57+N58-1)</f>
        <v>1.1538461538461542</v>
      </c>
      <c r="P58" s="29">
        <f>+O58</f>
        <v>1.1538461538461542</v>
      </c>
    </row>
    <row r="59" spans="2:24" ht="15.95" customHeight="1" x14ac:dyDescent="0.25">
      <c r="B59" s="42" t="s">
        <v>20</v>
      </c>
      <c r="C59" s="30">
        <f>C56*C55</f>
        <v>1336791.8711761991</v>
      </c>
      <c r="D59" s="30">
        <f>+D58*C56*D55</f>
        <v>2673583.7423524</v>
      </c>
      <c r="E59" s="30">
        <f t="shared" ref="E59" si="25">+E58*E56*E55</f>
        <v>1376895.6273114849</v>
      </c>
      <c r="F59" s="30">
        <f>+F58*E56*F55</f>
        <v>2753791.2546229698</v>
      </c>
      <c r="G59" s="30">
        <f t="shared" ref="G59" si="26">+G58*G56*G55</f>
        <v>1418202.4961308294</v>
      </c>
      <c r="H59" s="30">
        <f>+H58*G56*H55</f>
        <v>2836404.9922616589</v>
      </c>
      <c r="I59" s="30">
        <f t="shared" ref="I59" si="27">+I58*I56*I55</f>
        <v>1460748.5710147542</v>
      </c>
      <c r="J59" s="30">
        <f>+J58*I56*J55</f>
        <v>2921497.1420295085</v>
      </c>
      <c r="K59" s="30">
        <f t="shared" ref="K59" si="28">+K58*K56*K55</f>
        <v>1504571.0281451971</v>
      </c>
      <c r="L59" s="30">
        <f>+L58*K56*L55</f>
        <v>3009142.0562903942</v>
      </c>
      <c r="M59" s="30">
        <f t="shared" ref="M59:O59" si="29">+M58*M56*M55</f>
        <v>1788124.7988340999</v>
      </c>
      <c r="N59" s="30">
        <f>+N58*M56*N55</f>
        <v>3576249.5976681998</v>
      </c>
      <c r="O59" s="30">
        <f t="shared" ref="O59:Q59" si="30">+O58*O56*O55</f>
        <v>0</v>
      </c>
      <c r="P59" s="30">
        <f>+P58*O56*P55</f>
        <v>0</v>
      </c>
    </row>
    <row r="60" spans="2:24" ht="15.95" customHeight="1" x14ac:dyDescent="0.25">
      <c r="B60" s="50" t="s">
        <v>21</v>
      </c>
      <c r="C60" s="32" t="s">
        <v>22</v>
      </c>
      <c r="D60" s="33"/>
      <c r="E60" s="34" t="str">
        <f>+IF(E58&lt;&gt;D58,"Si","No")</f>
        <v>No</v>
      </c>
      <c r="F60" s="34"/>
      <c r="G60" s="34" t="str">
        <f>+IF(G58&lt;&gt;F58,"Si","No")</f>
        <v>No</v>
      </c>
      <c r="H60" s="34"/>
      <c r="I60" s="34" t="str">
        <f>+IF(I58&lt;&gt;H58,"Si","No")</f>
        <v>No</v>
      </c>
      <c r="J60" s="34"/>
      <c r="K60" s="34" t="str">
        <f>+IF(K58&lt;&gt;J58,"Si","No")</f>
        <v>No</v>
      </c>
      <c r="L60" s="34"/>
      <c r="M60" s="32" t="str">
        <f>+IF(M58&lt;&gt;L58,"Si","No")</f>
        <v>Si</v>
      </c>
      <c r="N60" s="33"/>
      <c r="O60" s="32" t="str">
        <f>+IF(O58&lt;&gt;N58,"Si","No")</f>
        <v>No</v>
      </c>
      <c r="P60" s="33"/>
    </row>
    <row r="61" spans="2:24" ht="15.95" customHeight="1" x14ac:dyDescent="0.25">
      <c r="B61" s="51"/>
      <c r="C61" s="36">
        <f>+IF(C60="No",0,Calcule)</f>
        <v>0</v>
      </c>
      <c r="D61" s="37"/>
      <c r="E61" s="34">
        <f>+D55*C56*(E58-D58)</f>
        <v>0</v>
      </c>
      <c r="F61" s="34"/>
      <c r="G61" s="34">
        <f>+F55*E56*(G58-F58)</f>
        <v>0</v>
      </c>
      <c r="H61" s="34"/>
      <c r="I61" s="34">
        <f>+H55*G56*(I58-H58)</f>
        <v>0</v>
      </c>
      <c r="J61" s="34"/>
      <c r="K61" s="34">
        <f>+J55*I56*(K58-J58)</f>
        <v>0</v>
      </c>
      <c r="L61" s="34"/>
      <c r="M61" s="36">
        <f>+L55*K56*(M58-L58)</f>
        <v>462944.93173698476</v>
      </c>
      <c r="N61" s="37"/>
      <c r="O61" s="36">
        <f>+N55*M56*(O58-N58)</f>
        <v>0</v>
      </c>
      <c r="P61" s="37"/>
    </row>
    <row r="62" spans="2:24" ht="15.95" customHeight="1" x14ac:dyDescent="0.25">
      <c r="B62" s="7" t="s">
        <v>23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/>
    </row>
    <row r="63" spans="2:24" ht="15.95" customHeight="1" x14ac:dyDescent="0.25">
      <c r="B63" s="42" t="s">
        <v>24</v>
      </c>
      <c r="C63" s="52"/>
      <c r="D63" s="53"/>
      <c r="E63" s="41">
        <f>+D59+C59</f>
        <v>4010375.613528599</v>
      </c>
      <c r="F63" s="41"/>
      <c r="G63" s="52">
        <f>+E59+F59+E61</f>
        <v>4130686.8819344547</v>
      </c>
      <c r="H63" s="53"/>
      <c r="I63" s="52">
        <f t="shared" ref="I63" si="31">+G59+H59+G61</f>
        <v>4254607.4883924881</v>
      </c>
      <c r="J63" s="53"/>
      <c r="K63" s="52">
        <f t="shared" ref="K63" si="32">+I59+J59+I61</f>
        <v>4382245.7130442625</v>
      </c>
      <c r="L63" s="53"/>
      <c r="M63" s="52">
        <f t="shared" ref="M63" si="33">+K59+L59+K61</f>
        <v>4513713.0844355915</v>
      </c>
      <c r="N63" s="53"/>
      <c r="O63" s="52">
        <f>+M59+N59+M61</f>
        <v>5827319.3282392845</v>
      </c>
      <c r="P63" s="53"/>
    </row>
    <row r="64" spans="2:24" ht="15.95" customHeight="1" x14ac:dyDescent="0.25">
      <c r="B64" s="42"/>
      <c r="C64" s="14"/>
      <c r="D64" s="54"/>
      <c r="E64" s="55"/>
      <c r="F64" s="56">
        <f>+E59+D59+E61</f>
        <v>4050479.3696638849</v>
      </c>
      <c r="G64" s="55"/>
      <c r="H64" s="56">
        <f t="shared" ref="H64" si="34">+G59+F59+G61</f>
        <v>4171993.7507537995</v>
      </c>
      <c r="I64" s="55"/>
      <c r="J64" s="56">
        <f t="shared" ref="J64" si="35">+I59+H59+I61</f>
        <v>4297153.5632764129</v>
      </c>
      <c r="K64" s="55"/>
      <c r="L64" s="56">
        <f t="shared" ref="L64" si="36">+K59+J59+K61</f>
        <v>4426068.1701747058</v>
      </c>
      <c r="M64" s="55"/>
      <c r="N64" s="56">
        <f t="shared" ref="N64" si="37">+M59+L59+M61</f>
        <v>5260211.7868614793</v>
      </c>
      <c r="O64" s="55"/>
      <c r="P64" s="42"/>
    </row>
  </sheetData>
  <mergeCells count="196">
    <mergeCell ref="D64:E64"/>
    <mergeCell ref="F64:G64"/>
    <mergeCell ref="H64:I64"/>
    <mergeCell ref="J64:K64"/>
    <mergeCell ref="L64:M64"/>
    <mergeCell ref="N64:O64"/>
    <mergeCell ref="B62:P62"/>
    <mergeCell ref="C63:D63"/>
    <mergeCell ref="E63:F63"/>
    <mergeCell ref="G63:H63"/>
    <mergeCell ref="I63:J63"/>
    <mergeCell ref="K63:L63"/>
    <mergeCell ref="M63:N63"/>
    <mergeCell ref="O63:P63"/>
    <mergeCell ref="E61:F61"/>
    <mergeCell ref="G61:H61"/>
    <mergeCell ref="I61:J61"/>
    <mergeCell ref="K61:L61"/>
    <mergeCell ref="M61:N61"/>
    <mergeCell ref="O61:P61"/>
    <mergeCell ref="O56:P56"/>
    <mergeCell ref="B60:B61"/>
    <mergeCell ref="C60:D60"/>
    <mergeCell ref="E60:F60"/>
    <mergeCell ref="G60:H60"/>
    <mergeCell ref="I60:J60"/>
    <mergeCell ref="K60:L60"/>
    <mergeCell ref="M60:N60"/>
    <mergeCell ref="O60:P60"/>
    <mergeCell ref="C61:D61"/>
    <mergeCell ref="C56:D56"/>
    <mergeCell ref="E56:F56"/>
    <mergeCell ref="G56:H56"/>
    <mergeCell ref="I56:J56"/>
    <mergeCell ref="K56:L56"/>
    <mergeCell ref="M56:N56"/>
    <mergeCell ref="O51:P51"/>
    <mergeCell ref="B53:P53"/>
    <mergeCell ref="C54:D54"/>
    <mergeCell ref="E54:F54"/>
    <mergeCell ref="G54:H54"/>
    <mergeCell ref="I54:J54"/>
    <mergeCell ref="K54:L54"/>
    <mergeCell ref="M54:N54"/>
    <mergeCell ref="O54:P54"/>
    <mergeCell ref="C51:D51"/>
    <mergeCell ref="E51:F51"/>
    <mergeCell ref="G51:H51"/>
    <mergeCell ref="I51:J51"/>
    <mergeCell ref="K51:L51"/>
    <mergeCell ref="M51:N51"/>
    <mergeCell ref="S49:T49"/>
    <mergeCell ref="U49:V49"/>
    <mergeCell ref="W49:X49"/>
    <mergeCell ref="S50:T50"/>
    <mergeCell ref="U50:V50"/>
    <mergeCell ref="W50:X50"/>
    <mergeCell ref="B47:P47"/>
    <mergeCell ref="B48:B49"/>
    <mergeCell ref="C48:P48"/>
    <mergeCell ref="C49:D49"/>
    <mergeCell ref="E49:F49"/>
    <mergeCell ref="G49:H49"/>
    <mergeCell ref="I49:J49"/>
    <mergeCell ref="K49:L49"/>
    <mergeCell ref="M49:N49"/>
    <mergeCell ref="O49:P49"/>
    <mergeCell ref="D44:E44"/>
    <mergeCell ref="F44:G44"/>
    <mergeCell ref="H44:I44"/>
    <mergeCell ref="J44:K44"/>
    <mergeCell ref="L44:M44"/>
    <mergeCell ref="N44:O44"/>
    <mergeCell ref="B42:P42"/>
    <mergeCell ref="C43:D43"/>
    <mergeCell ref="E43:F43"/>
    <mergeCell ref="G43:H43"/>
    <mergeCell ref="I43:J43"/>
    <mergeCell ref="K43:L43"/>
    <mergeCell ref="M43:N43"/>
    <mergeCell ref="O43:P43"/>
    <mergeCell ref="E41:F41"/>
    <mergeCell ref="G41:H41"/>
    <mergeCell ref="I41:J41"/>
    <mergeCell ref="K41:L41"/>
    <mergeCell ref="M41:N41"/>
    <mergeCell ref="O41:P41"/>
    <mergeCell ref="O36:P36"/>
    <mergeCell ref="B40:B41"/>
    <mergeCell ref="C40:D40"/>
    <mergeCell ref="E40:F40"/>
    <mergeCell ref="G40:H40"/>
    <mergeCell ref="I40:J40"/>
    <mergeCell ref="K40:L40"/>
    <mergeCell ref="M40:N40"/>
    <mergeCell ref="O40:P40"/>
    <mergeCell ref="C41:D41"/>
    <mergeCell ref="C36:D36"/>
    <mergeCell ref="E36:F36"/>
    <mergeCell ref="G36:H36"/>
    <mergeCell ref="I36:J36"/>
    <mergeCell ref="K36:L36"/>
    <mergeCell ref="M36:N36"/>
    <mergeCell ref="O31:P31"/>
    <mergeCell ref="B33:P33"/>
    <mergeCell ref="C34:D34"/>
    <mergeCell ref="E34:F34"/>
    <mergeCell ref="G34:H34"/>
    <mergeCell ref="I34:J34"/>
    <mergeCell ref="K34:L34"/>
    <mergeCell ref="M34:N34"/>
    <mergeCell ref="O34:P34"/>
    <mergeCell ref="C31:D31"/>
    <mergeCell ref="E31:F31"/>
    <mergeCell ref="G31:H31"/>
    <mergeCell ref="I31:J31"/>
    <mergeCell ref="K31:L31"/>
    <mergeCell ref="M31:N31"/>
    <mergeCell ref="M29:N29"/>
    <mergeCell ref="O29:P29"/>
    <mergeCell ref="S29:T29"/>
    <mergeCell ref="U29:V29"/>
    <mergeCell ref="W29:X29"/>
    <mergeCell ref="S30:T30"/>
    <mergeCell ref="U30:V30"/>
    <mergeCell ref="W30:X30"/>
    <mergeCell ref="M23:N23"/>
    <mergeCell ref="O23:P23"/>
    <mergeCell ref="B27:P27"/>
    <mergeCell ref="B28:B29"/>
    <mergeCell ref="C28:P28"/>
    <mergeCell ref="C29:D29"/>
    <mergeCell ref="E29:F29"/>
    <mergeCell ref="G29:H29"/>
    <mergeCell ref="I29:J29"/>
    <mergeCell ref="K29:L29"/>
    <mergeCell ref="E21:F21"/>
    <mergeCell ref="G21:H21"/>
    <mergeCell ref="I21:J21"/>
    <mergeCell ref="K21:L21"/>
    <mergeCell ref="B22:P22"/>
    <mergeCell ref="C23:D23"/>
    <mergeCell ref="E23:F23"/>
    <mergeCell ref="G23:H23"/>
    <mergeCell ref="I23:J23"/>
    <mergeCell ref="K23:L23"/>
    <mergeCell ref="O16:P16"/>
    <mergeCell ref="B20:B21"/>
    <mergeCell ref="C20:D20"/>
    <mergeCell ref="E20:F20"/>
    <mergeCell ref="G20:H20"/>
    <mergeCell ref="I20:J20"/>
    <mergeCell ref="K20:L20"/>
    <mergeCell ref="M20:N20"/>
    <mergeCell ref="O20:P20"/>
    <mergeCell ref="C21:D21"/>
    <mergeCell ref="C16:D16"/>
    <mergeCell ref="E16:F16"/>
    <mergeCell ref="G16:H16"/>
    <mergeCell ref="I16:J16"/>
    <mergeCell ref="K16:L16"/>
    <mergeCell ref="M16:N16"/>
    <mergeCell ref="B13:P13"/>
    <mergeCell ref="C14:D14"/>
    <mergeCell ref="E14:F14"/>
    <mergeCell ref="G14:H14"/>
    <mergeCell ref="I14:J14"/>
    <mergeCell ref="K14:L14"/>
    <mergeCell ref="M14:N14"/>
    <mergeCell ref="S10:T10"/>
    <mergeCell ref="U10:V10"/>
    <mergeCell ref="W10:X10"/>
    <mergeCell ref="C11:D11"/>
    <mergeCell ref="E11:F11"/>
    <mergeCell ref="G11:H11"/>
    <mergeCell ref="I11:J11"/>
    <mergeCell ref="K11:L11"/>
    <mergeCell ref="M11:N11"/>
    <mergeCell ref="O11:P11"/>
    <mergeCell ref="S8:T8"/>
    <mergeCell ref="U8:V8"/>
    <mergeCell ref="W8:X8"/>
    <mergeCell ref="D9:E9"/>
    <mergeCell ref="F9:G9"/>
    <mergeCell ref="H9:I9"/>
    <mergeCell ref="J9:K9"/>
    <mergeCell ref="L9:M9"/>
    <mergeCell ref="B6:P6"/>
    <mergeCell ref="C7:P7"/>
    <mergeCell ref="C8:D8"/>
    <mergeCell ref="E8:F8"/>
    <mergeCell ref="G8:H8"/>
    <mergeCell ref="I8:J8"/>
    <mergeCell ref="K8:L8"/>
    <mergeCell ref="M8:N8"/>
    <mergeCell ref="O8:P8"/>
  </mergeCells>
  <dataValidations count="6">
    <dataValidation allowBlank="1" showInputMessage="1" showErrorMessage="1" promptTitle="Tarífa Mínima" prompt="Se estima la TM de los años siguientes con un incremento del 3% anual para efectos del ejercicio" sqref="E16:F16"/>
    <dataValidation allowBlank="1" showInputMessage="1" showErrorMessage="1" promptTitle="Periodos de TR" prompt="Se supone que el quinquenio de tasa inici en el mes de mayo, por eso del año fiscal, los primeros 4 meses correspondel al periodo de tasa en curso" sqref="E10"/>
    <dataValidation allowBlank="1" showInputMessage="1" showErrorMessage="1" promptTitle="Meta de carga " prompt="Se estableció la meta anual, pero para efectos del calculo de la TR, se obtiene la carga correspondiente al periodo de evaluación proporcional a los meses transcurridos" sqref="E12"/>
    <dataValidation allowBlank="1" showInputMessage="1" showErrorMessage="1" promptTitle="Incremento FR" prompt="Se calcula el indicador Cc/Cm, para verificar el cumplimiento de la meta, si es superios a 1 se incumplió la meta y por tanto se ajusta el FR._x000a_El FR se evaluará en el primer año de tasa retributiva y si hay incumplimiento se ajusta el FR" sqref="C17:D17"/>
    <dataValidation allowBlank="1" showInputMessage="1" showErrorMessage="1" promptTitle="FR" prompt="El FR se ajusta al finalizar cada año de tasa retributiva, considerando que el año de TR con coincide con el año fiscal, el calculo y ajuste del FR (si procede) se realiza al año siguinete" sqref="E18"/>
    <dataValidation allowBlank="1" showInputMessage="1" showErrorMessage="1" promptTitle="Ajuste por cambio en el FR" prompt="Si evaluado el periodo de TR se incumplió la meta y se incremento el FR, se procede a realizar el ajustre de acuerdo con lo establecido en la norma" sqref="E20:F2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Simulacion liquidacion TR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</dc:creator>
  <cp:lastModifiedBy>Vladimir I</cp:lastModifiedBy>
  <dcterms:created xsi:type="dcterms:W3CDTF">2019-01-24T03:56:34Z</dcterms:created>
  <dcterms:modified xsi:type="dcterms:W3CDTF">2019-01-24T03:57:14Z</dcterms:modified>
</cp:coreProperties>
</file>